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05" windowHeight="69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'Лист1'!$A$1:$F$57</definedName>
    <definedName name="Ф">'Лист1'!$B$14</definedName>
    <definedName name="Ф_90_мм">'Лист1'!$M$77:$M$82</definedName>
  </definedNames>
  <calcPr fullCalcOnLoad="1"/>
</workbook>
</file>

<file path=xl/comments1.xml><?xml version="1.0" encoding="utf-8"?>
<comments xmlns="http://schemas.openxmlformats.org/spreadsheetml/2006/main">
  <authors>
    <author>MIKHAIL</author>
  </authors>
  <commentList>
    <comment ref="H33" authorId="0">
      <text>
        <r>
          <rPr>
            <b/>
            <sz val="9"/>
            <rFont val="Tahoma"/>
            <family val="2"/>
          </rPr>
          <t>Вы можете скорректировать количество каждой позиции или полностью отказаться от нее, 
введя символ "-"</t>
        </r>
      </text>
    </comment>
  </commentList>
</comments>
</file>

<file path=xl/sharedStrings.xml><?xml version="1.0" encoding="utf-8"?>
<sst xmlns="http://schemas.openxmlformats.org/spreadsheetml/2006/main" count="110" uniqueCount="102">
  <si>
    <t>Коммерческое предложение</t>
  </si>
  <si>
    <t>Длина забора, м</t>
  </si>
  <si>
    <t>73х5,5</t>
  </si>
  <si>
    <t>60х5</t>
  </si>
  <si>
    <t>60х30х2</t>
  </si>
  <si>
    <t>60х30х2,5</t>
  </si>
  <si>
    <t>Количество ворот</t>
  </si>
  <si>
    <t>Цена за ед.</t>
  </si>
  <si>
    <t>Сумма</t>
  </si>
  <si>
    <t>Кол-во</t>
  </si>
  <si>
    <t>50х25х2</t>
  </si>
  <si>
    <t>Типоразмер прожилин, мм</t>
  </si>
  <si>
    <t>С8-1150</t>
  </si>
  <si>
    <t>С10-1100</t>
  </si>
  <si>
    <t>С20-1100</t>
  </si>
  <si>
    <t>С21-1000</t>
  </si>
  <si>
    <t>Вид профиля профнастила</t>
  </si>
  <si>
    <t>Заглушки</t>
  </si>
  <si>
    <t>Наименование</t>
  </si>
  <si>
    <t>Типоразмер</t>
  </si>
  <si>
    <t xml:space="preserve">Количество калиток </t>
  </si>
  <si>
    <t>Высота забора, м</t>
  </si>
  <si>
    <t>Ширина 1 калитки, м</t>
  </si>
  <si>
    <t>Ширина 2 калитки, м</t>
  </si>
  <si>
    <t>Ширина 3 калитки, м</t>
  </si>
  <si>
    <t>www.avers-steel.ru/artcl/zabor_montazh.html</t>
  </si>
  <si>
    <t>ИТОГО:</t>
  </si>
  <si>
    <t>С уважением,</t>
  </si>
  <si>
    <t>www.avers-steel.ru/prices/stolbmap.html</t>
  </si>
  <si>
    <t>Для забора из профнастила</t>
  </si>
  <si>
    <t>В ОДНОМ МЕСТЕ!!!</t>
  </si>
  <si>
    <t>ВСЁ!</t>
  </si>
  <si>
    <t>СПЕЦИФИКАЦИЯ</t>
  </si>
  <si>
    <t>Профильная (прямоугольная) труба</t>
  </si>
  <si>
    <t>Включая все калитки и ворота</t>
  </si>
  <si>
    <t>Ширина 1 ворот, м</t>
  </si>
  <si>
    <t>Ширина 2 ворот, м</t>
  </si>
  <si>
    <t>Ширина 3 ворот, м</t>
  </si>
  <si>
    <t>тел. (499) 390-90-77</t>
  </si>
  <si>
    <t>Расчет профнастила и профильной трубы производится с учетом монтажа ворот и калиток из  материалов забора (проф.труба, профнастил)
Указывать ширину ОТДЕЛЬНЫХ калиток (калитки, встроенные в ворота, - не учитывать).</t>
  </si>
  <si>
    <t>Соответствует высоте листа профнастила</t>
  </si>
  <si>
    <t>Толстостенная бесшовная труба НКТ</t>
  </si>
  <si>
    <t>Шаг столбов</t>
  </si>
  <si>
    <t>60х30х3</t>
  </si>
  <si>
    <t>50х25х2,5</t>
  </si>
  <si>
    <t>Вес, кг</t>
  </si>
  <si>
    <t>Справочно: стоимость 1 метра забора:</t>
  </si>
  <si>
    <t>-</t>
  </si>
  <si>
    <t>Длина столба, м</t>
  </si>
  <si>
    <t>Типоразмер столбов, мм</t>
  </si>
  <si>
    <t>Рекомендуется: + 1 метр к "Высоте забора" или более.</t>
  </si>
  <si>
    <t>40х20х2</t>
  </si>
  <si>
    <t>40х25х2</t>
  </si>
  <si>
    <t>40х25х2,5</t>
  </si>
  <si>
    <t>Михаил Егоров</t>
  </si>
  <si>
    <t>1 сторона</t>
  </si>
  <si>
    <t>2 стороны</t>
  </si>
  <si>
    <t>Окраска по RAL</t>
  </si>
  <si>
    <t>Не окрашен</t>
  </si>
  <si>
    <t>Зависит от высоты забора (1-2 м - 2 ряда, 2-3 - 3, 3-4 - 4)</t>
  </si>
  <si>
    <t>Кол-во рядов прожилин</t>
  </si>
  <si>
    <t>Осуществляем доставку заказа по Московской области и в другие регионы России.</t>
  </si>
  <si>
    <t>Заклепки оцинк. сталь, (250 шт/кор.)</t>
  </si>
  <si>
    <t>Коррекция</t>
  </si>
  <si>
    <t>Прожилина (длина 1 шт - 6 м)</t>
  </si>
  <si>
    <t>т. (926) 277-1575</t>
  </si>
  <si>
    <t>Облегчает установку. Удерживает столбы от выпирания.</t>
  </si>
  <si>
    <t>Винтовой наконечник д/столба НКТ</t>
  </si>
  <si>
    <t>Принтек (1 ст)</t>
  </si>
  <si>
    <t>Вид покрытия</t>
  </si>
  <si>
    <t>Профнастил</t>
  </si>
  <si>
    <t>Евроштакетник</t>
  </si>
  <si>
    <t>на поставку комплектующих для строительства
надежного и долговечного забора из профнастила/евроштакетника</t>
  </si>
  <si>
    <t>Весь профнастил и штакетник оцинкован с 2-х сторон по ГОСТ 24045-95. Цвета - согласно таблице RAL</t>
  </si>
  <si>
    <t>Забор на 100 лет!</t>
  </si>
  <si>
    <t>Вычисление</t>
  </si>
  <si>
    <t>www.avers-steel.ru/prices/cena-dostavka.html</t>
  </si>
  <si>
    <t>60/90</t>
  </si>
  <si>
    <t>60/150</t>
  </si>
  <si>
    <t>73/150</t>
  </si>
  <si>
    <t>Оптимально: для тр. 60х5 - 2м, 73х5,5 - 2,5м</t>
  </si>
  <si>
    <t>73/100</t>
  </si>
  <si>
    <t>www.avers-steel.ru/pow/index.html</t>
  </si>
  <si>
    <t xml:space="preserve">Найдите действующие спецпредложения на странице распродаж: </t>
  </si>
  <si>
    <t>Принтек (2 ст)</t>
  </si>
  <si>
    <t>Ф90 мм</t>
  </si>
  <si>
    <t>Ф100 мм</t>
  </si>
  <si>
    <t>Ф150 мм</t>
  </si>
  <si>
    <t>Выбор нак</t>
  </si>
  <si>
    <t>Порядок монтажа забора на 100 лет в статье:</t>
  </si>
  <si>
    <t>Расценки на доставку:</t>
  </si>
  <si>
    <t>Срок поставки комплектующих, кроме профнастила/штакетника, - 1-2  дня; профнастила\штакетника - 2-8 дней.</t>
  </si>
  <si>
    <r>
      <t xml:space="preserve">Данное предложение НЕ является офертой. На момент заключения договора цены могут измениться! При оформлении заказа действуют </t>
    </r>
    <r>
      <rPr>
        <b/>
        <sz val="9"/>
        <rFont val="Arial Cyr"/>
        <family val="0"/>
      </rPr>
      <t>скидки от количества.</t>
    </r>
  </si>
  <si>
    <t>Адрес базы: г. Котельники МО, мкр. Белая Дача, Коммерческий пр-д, 1 (промзона Технопром)</t>
  </si>
  <si>
    <t>Телефон базы: (499) 390-90-77 (Юрий Михайлович)</t>
  </si>
  <si>
    <t>80х40х2</t>
  </si>
  <si>
    <t>80х40х2,5</t>
  </si>
  <si>
    <t>80х40х3</t>
  </si>
  <si>
    <t>50х25х3</t>
  </si>
  <si>
    <t>40х20х3</t>
  </si>
  <si>
    <t>40х20х2,5</t>
  </si>
  <si>
    <t>40х25х3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</si>
</sst>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0"/>
    </font>
    <font>
      <b/>
      <sz val="10"/>
      <color indexed="10"/>
      <name val="Arial Cyr"/>
      <family val="0"/>
    </font>
    <font>
      <b/>
      <sz val="26"/>
      <color indexed="10"/>
      <name val="Arial Cyr"/>
      <family val="0"/>
    </font>
    <font>
      <b/>
      <sz val="18"/>
      <color indexed="10"/>
      <name val="Arial Cyr"/>
      <family val="0"/>
    </font>
    <font>
      <sz val="9"/>
      <name val="Arial Cyr"/>
      <family val="0"/>
    </font>
    <font>
      <b/>
      <u val="single"/>
      <sz val="9"/>
      <color indexed="12"/>
      <name val="Arial Cyr"/>
      <family val="0"/>
    </font>
    <font>
      <b/>
      <sz val="9"/>
      <name val="Arial Cyr"/>
      <family val="0"/>
    </font>
    <font>
      <b/>
      <sz val="14"/>
      <color indexed="10"/>
      <name val="Arial Cyr"/>
      <family val="0"/>
    </font>
    <font>
      <b/>
      <sz val="16"/>
      <name val="Arial Cyr"/>
      <family val="0"/>
    </font>
    <font>
      <b/>
      <sz val="9"/>
      <name val="Tahoma"/>
      <family val="2"/>
    </font>
    <font>
      <b/>
      <i/>
      <sz val="16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rgb="FF008000"/>
      </left>
      <right style="thick">
        <color rgb="FF008000"/>
      </right>
      <top>
        <color indexed="63"/>
      </top>
      <bottom>
        <color indexed="63"/>
      </bottom>
    </border>
    <border>
      <left style="thick">
        <color rgb="FF008000"/>
      </left>
      <right style="thick">
        <color rgb="FF008000"/>
      </right>
      <top>
        <color indexed="63"/>
      </top>
      <bottom style="thick">
        <color rgb="FF008000"/>
      </bottom>
    </border>
    <border>
      <left style="thick">
        <color rgb="FF008000"/>
      </left>
      <right style="thick">
        <color rgb="FF008000"/>
      </right>
      <top style="thick">
        <color rgb="FF008000"/>
      </top>
      <bottom style="thick">
        <color rgb="FF008000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theme="6" tint="-0.24993999302387238"/>
      </left>
      <right style="thick">
        <color theme="6" tint="-0.24993999302387238"/>
      </right>
      <top style="thick">
        <color theme="6" tint="-0.24993999302387238"/>
      </top>
      <bottom>
        <color indexed="63"/>
      </bottom>
    </border>
    <border>
      <left style="thick">
        <color theme="6" tint="-0.24993999302387238"/>
      </left>
      <right style="thick">
        <color theme="6" tint="-0.24993999302387238"/>
      </right>
      <top>
        <color indexed="63"/>
      </top>
      <bottom>
        <color indexed="63"/>
      </bottom>
    </border>
    <border>
      <left style="thick">
        <color theme="6" tint="-0.24993999302387238"/>
      </left>
      <right style="thick">
        <color theme="6" tint="-0.24993999302387238"/>
      </right>
      <top>
        <color indexed="63"/>
      </top>
      <bottom style="thick">
        <color theme="6" tint="-0.24993999302387238"/>
      </bottom>
    </border>
    <border>
      <left style="thick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8000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4" fillId="0" borderId="0" xfId="42" applyFont="1" applyAlignment="1" applyProtection="1">
      <alignment vertical="center" wrapText="1"/>
      <protection locked="0"/>
    </xf>
    <xf numFmtId="0" fontId="13" fillId="0" borderId="0" xfId="0" applyFont="1" applyAlignment="1">
      <alignment wrapText="1"/>
    </xf>
    <xf numFmtId="0" fontId="7" fillId="0" borderId="0" xfId="42" applyFont="1" applyAlignment="1" applyProtection="1">
      <alignment/>
      <protection locked="0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17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72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3" fillId="0" borderId="0" xfId="0" applyFont="1" applyAlignment="1">
      <alignment wrapText="1"/>
    </xf>
    <xf numFmtId="0" fontId="1" fillId="0" borderId="2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42" applyFont="1" applyAlignment="1" applyProtection="1">
      <alignment wrapText="1"/>
      <protection/>
    </xf>
    <xf numFmtId="0" fontId="14" fillId="0" borderId="0" xfId="42" applyFont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7" fillId="0" borderId="0" xfId="42" applyFont="1" applyAlignment="1" applyProtection="1">
      <alignment vertical="center"/>
      <protection locked="0"/>
    </xf>
    <xf numFmtId="0" fontId="3" fillId="0" borderId="0" xfId="0" applyFont="1" applyAlignment="1">
      <alignment horizontal="center" wrapText="1"/>
    </xf>
    <xf numFmtId="0" fontId="2" fillId="0" borderId="24" xfId="0" applyFont="1" applyBorder="1" applyAlignment="1" applyProtection="1">
      <alignment horizontal="right" wrapText="1"/>
      <protection locked="0"/>
    </xf>
    <xf numFmtId="0" fontId="2" fillId="0" borderId="25" xfId="0" applyFont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2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5</xdr:col>
      <xdr:colOff>533400</xdr:colOff>
      <xdr:row>2</xdr:row>
      <xdr:rowOff>333375</xdr:rowOff>
    </xdr:to>
    <xdr:pic>
      <xdr:nvPicPr>
        <xdr:cNvPr id="1" name="Рисунок 2" descr="Логотип АВЕРС Заборы и сва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0"/>
          <a:ext cx="3124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vers-steel.ru/prices/cena-dostavka.html" TargetMode="External" /><Relationship Id="rId2" Type="http://schemas.openxmlformats.org/officeDocument/2006/relationships/hyperlink" Target="http://www.avers-steel.ru/artcl/zabor_montazh.html" TargetMode="External" /><Relationship Id="rId3" Type="http://schemas.openxmlformats.org/officeDocument/2006/relationships/hyperlink" Target="http://www.avers-steel.ru/prices/stolbmap.html" TargetMode="External" /><Relationship Id="rId4" Type="http://schemas.openxmlformats.org/officeDocument/2006/relationships/hyperlink" Target="http://www.avers-steel.ru/pow/index.html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tabSelected="1" zoomScalePageLayoutView="0" workbookViewId="0" topLeftCell="A1">
      <selection activeCell="H36" sqref="H36"/>
    </sheetView>
  </sheetViews>
  <sheetFormatPr defaultColWidth="9.00390625" defaultRowHeight="12.75"/>
  <cols>
    <col min="1" max="1" width="33.75390625" style="1" customWidth="1"/>
    <col min="2" max="2" width="16.00390625" style="0" customWidth="1"/>
    <col min="3" max="3" width="10.375" style="0" customWidth="1"/>
    <col min="4" max="4" width="8.00390625" style="0" customWidth="1"/>
    <col min="5" max="5" width="18.00390625" style="0" customWidth="1"/>
    <col min="6" max="6" width="10.125" style="0" bestFit="1" customWidth="1"/>
    <col min="7" max="7" width="10.125" style="0" hidden="1" customWidth="1"/>
    <col min="8" max="8" width="11.25390625" style="2" bestFit="1" customWidth="1"/>
    <col min="9" max="9" width="9.125" style="0" hidden="1" customWidth="1"/>
    <col min="10" max="12" width="6.625" style="0" hidden="1" customWidth="1"/>
    <col min="13" max="13" width="13.75390625" style="0" hidden="1" customWidth="1"/>
    <col min="14" max="14" width="12.375" style="0" hidden="1" customWidth="1"/>
    <col min="15" max="17" width="9.625" style="0" hidden="1" customWidth="1"/>
    <col min="18" max="18" width="8.875" style="0" hidden="1" customWidth="1"/>
    <col min="19" max="20" width="9.125" style="0" hidden="1" customWidth="1"/>
    <col min="21" max="21" width="9.125" style="0" customWidth="1"/>
  </cols>
  <sheetData>
    <row r="1" spans="1:2" ht="33" customHeight="1">
      <c r="A1" s="21" t="s">
        <v>31</v>
      </c>
      <c r="B1" s="18"/>
    </row>
    <row r="2" spans="1:2" s="13" customFormat="1" ht="16.5" customHeight="1">
      <c r="A2" s="22" t="s">
        <v>29</v>
      </c>
      <c r="B2" s="19"/>
    </row>
    <row r="3" spans="1:2" s="14" customFormat="1" ht="33" customHeight="1" thickBot="1">
      <c r="A3" s="23" t="s">
        <v>30</v>
      </c>
      <c r="B3" s="20"/>
    </row>
    <row r="4" spans="3:6" s="13" customFormat="1" ht="19.5" customHeight="1">
      <c r="C4" s="77" t="s">
        <v>74</v>
      </c>
      <c r="D4" s="77"/>
      <c r="E4" s="77"/>
      <c r="F4" s="77"/>
    </row>
    <row r="5" spans="3:7" s="13" customFormat="1" ht="26.25">
      <c r="C5" s="78" t="s">
        <v>38</v>
      </c>
      <c r="D5" s="78"/>
      <c r="E5" s="78"/>
      <c r="F5" s="78"/>
      <c r="G5" s="34"/>
    </row>
    <row r="6" ht="12.75"/>
    <row r="7" spans="1:5" ht="15.75">
      <c r="A7" s="81" t="s">
        <v>0</v>
      </c>
      <c r="B7" s="81"/>
      <c r="C7" s="81"/>
      <c r="D7" s="81"/>
      <c r="E7" s="81"/>
    </row>
    <row r="8" spans="1:5" ht="27.75" customHeight="1">
      <c r="A8" s="80" t="s">
        <v>72</v>
      </c>
      <c r="B8" s="82"/>
      <c r="C8" s="82"/>
      <c r="D8" s="82"/>
      <c r="E8" s="82"/>
    </row>
    <row r="9" ht="13.5" thickBot="1"/>
    <row r="10" spans="1:20" ht="13.5" thickTop="1">
      <c r="A10" s="48" t="s">
        <v>1</v>
      </c>
      <c r="B10" s="55">
        <v>100</v>
      </c>
      <c r="C10" s="61" t="s">
        <v>34</v>
      </c>
      <c r="D10" s="61"/>
      <c r="E10" s="61"/>
      <c r="F10" s="61"/>
      <c r="G10" s="24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ht="12.75">
      <c r="A11" s="48" t="s">
        <v>21</v>
      </c>
      <c r="B11" s="56">
        <v>1.8</v>
      </c>
      <c r="C11" s="61" t="s">
        <v>40</v>
      </c>
      <c r="D11" s="61"/>
      <c r="E11" s="61"/>
      <c r="F11" s="61"/>
      <c r="G11" s="24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12.75">
      <c r="A12" s="48" t="s">
        <v>49</v>
      </c>
      <c r="B12" s="56" t="s">
        <v>3</v>
      </c>
      <c r="C12" s="61" t="s">
        <v>41</v>
      </c>
      <c r="D12" s="61"/>
      <c r="E12" s="61"/>
      <c r="F12" s="61"/>
      <c r="G12" s="24"/>
      <c r="H12" s="60">
        <f>IF(AND(B12=K61,B14=M78),"ВНИМАНИЕ!!! Для столба НКТ 60х5 мм наконечник с лопастью Ф 100 не производится. Выберите другой типоразмер",IF(AND(B12=K62,B14=M77),"ВНИМАНИЕ!!! Для столба НКТ 73х5,5 мм наконечник с лопастью Ф 90 мм не производится. Выберите другой типоразмер",""))</f>
      </c>
      <c r="I12" s="60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9" ht="12.75" customHeight="1">
      <c r="A13" s="48" t="s">
        <v>48</v>
      </c>
      <c r="B13" s="56">
        <v>3</v>
      </c>
      <c r="C13" s="61" t="s">
        <v>50</v>
      </c>
      <c r="D13" s="61"/>
      <c r="E13" s="61"/>
      <c r="F13" s="61"/>
      <c r="G13" s="24"/>
      <c r="H13" s="60"/>
      <c r="I13" s="60"/>
    </row>
    <row r="14" spans="1:9" ht="12.75">
      <c r="A14" s="48" t="s">
        <v>67</v>
      </c>
      <c r="B14" s="56"/>
      <c r="C14" s="61" t="s">
        <v>66</v>
      </c>
      <c r="D14" s="61"/>
      <c r="E14" s="61"/>
      <c r="F14" s="61"/>
      <c r="G14" s="24"/>
      <c r="H14" s="60"/>
      <c r="I14" s="60"/>
    </row>
    <row r="15" spans="1:9" ht="12.75">
      <c r="A15" s="48" t="s">
        <v>42</v>
      </c>
      <c r="B15" s="56">
        <v>2.5</v>
      </c>
      <c r="C15" s="61" t="s">
        <v>80</v>
      </c>
      <c r="D15" s="61"/>
      <c r="E15" s="61"/>
      <c r="F15" s="61"/>
      <c r="G15" s="24"/>
      <c r="H15" s="60"/>
      <c r="I15" s="60"/>
    </row>
    <row r="16" spans="1:9" ht="12.75">
      <c r="A16" s="48" t="s">
        <v>11</v>
      </c>
      <c r="B16" s="56" t="s">
        <v>51</v>
      </c>
      <c r="C16" s="61" t="s">
        <v>33</v>
      </c>
      <c r="D16" s="61"/>
      <c r="E16" s="61"/>
      <c r="F16" s="61"/>
      <c r="G16" s="24"/>
      <c r="H16" s="60"/>
      <c r="I16" s="60"/>
    </row>
    <row r="17" spans="1:9" ht="12.75">
      <c r="A17" s="48" t="s">
        <v>60</v>
      </c>
      <c r="B17" s="56">
        <v>2</v>
      </c>
      <c r="C17" s="61" t="s">
        <v>59</v>
      </c>
      <c r="D17" s="61"/>
      <c r="E17" s="61"/>
      <c r="F17" s="61"/>
      <c r="G17" s="24"/>
      <c r="H17" s="60"/>
      <c r="I17" s="60"/>
    </row>
    <row r="18" spans="1:9" ht="12.75">
      <c r="A18" s="48" t="s">
        <v>35</v>
      </c>
      <c r="B18" s="56"/>
      <c r="C18" s="67" t="s">
        <v>39</v>
      </c>
      <c r="D18" s="67"/>
      <c r="E18" s="67"/>
      <c r="F18" s="67"/>
      <c r="G18" s="39"/>
      <c r="H18" s="60"/>
      <c r="I18" s="60"/>
    </row>
    <row r="19" spans="1:9" ht="12.75">
      <c r="A19" s="48" t="s">
        <v>36</v>
      </c>
      <c r="B19" s="56"/>
      <c r="C19" s="67"/>
      <c r="D19" s="67"/>
      <c r="E19" s="67"/>
      <c r="F19" s="67"/>
      <c r="G19" s="39"/>
      <c r="H19" s="60"/>
      <c r="I19" s="60"/>
    </row>
    <row r="20" spans="1:9" ht="12.75">
      <c r="A20" s="48" t="s">
        <v>37</v>
      </c>
      <c r="B20" s="56"/>
      <c r="C20" s="67"/>
      <c r="D20" s="67"/>
      <c r="E20" s="67"/>
      <c r="F20" s="67"/>
      <c r="G20" s="39"/>
      <c r="H20" s="60"/>
      <c r="I20" s="60"/>
    </row>
    <row r="21" spans="1:9" ht="12.75">
      <c r="A21" s="48" t="s">
        <v>22</v>
      </c>
      <c r="B21" s="56"/>
      <c r="C21" s="67"/>
      <c r="D21" s="67"/>
      <c r="E21" s="67"/>
      <c r="F21" s="67"/>
      <c r="G21" s="39"/>
      <c r="H21" s="60"/>
      <c r="I21" s="60"/>
    </row>
    <row r="22" spans="1:7" ht="12.75">
      <c r="A22" s="48" t="s">
        <v>23</v>
      </c>
      <c r="B22" s="45"/>
      <c r="C22" s="67"/>
      <c r="D22" s="67"/>
      <c r="E22" s="67"/>
      <c r="F22" s="67"/>
      <c r="G22" s="39"/>
    </row>
    <row r="23" spans="1:7" ht="13.5" thickBot="1">
      <c r="A23" s="48" t="s">
        <v>24</v>
      </c>
      <c r="B23" s="45"/>
      <c r="C23" s="67"/>
      <c r="D23" s="67"/>
      <c r="E23" s="67"/>
      <c r="F23" s="67"/>
      <c r="G23" s="39"/>
    </row>
    <row r="24" spans="1:7" ht="14.25" thickBot="1" thickTop="1">
      <c r="A24" s="48" t="s">
        <v>69</v>
      </c>
      <c r="B24" s="45" t="s">
        <v>70</v>
      </c>
      <c r="C24" s="63">
        <f>IF(B24=S60,"Ширина просвета между штакетинами, мм: ","")</f>
      </c>
      <c r="D24" s="64"/>
      <c r="E24" s="65"/>
      <c r="F24" s="47"/>
      <c r="G24" s="39"/>
    </row>
    <row r="25" spans="1:7" ht="13.5" thickTop="1">
      <c r="A25" s="48" t="s">
        <v>57</v>
      </c>
      <c r="B25" s="45" t="s">
        <v>55</v>
      </c>
      <c r="C25" s="66" t="s">
        <v>73</v>
      </c>
      <c r="D25" s="67"/>
      <c r="E25" s="67"/>
      <c r="F25" s="67"/>
      <c r="G25" s="24"/>
    </row>
    <row r="26" spans="1:7" ht="13.5" thickBot="1">
      <c r="A26" s="48" t="s">
        <v>16</v>
      </c>
      <c r="B26" s="46" t="s">
        <v>14</v>
      </c>
      <c r="C26" s="66"/>
      <c r="D26" s="67"/>
      <c r="E26" s="67"/>
      <c r="F26" s="67"/>
      <c r="G26" s="24"/>
    </row>
    <row r="27" ht="13.5" thickTop="1"/>
    <row r="28" ht="12.75" hidden="1"/>
    <row r="29" spans="1:5" ht="12.75" hidden="1">
      <c r="A29" s="1" t="s">
        <v>6</v>
      </c>
      <c r="B29" s="25">
        <f>IF(B18=0,0,1)+IF(B19=0,0,1)+IF(B20=0,0,1)</f>
        <v>0</v>
      </c>
      <c r="C29" s="17"/>
      <c r="D29" s="17"/>
      <c r="E29" s="17"/>
    </row>
    <row r="30" spans="1:5" ht="12.75" hidden="1">
      <c r="A30" s="1" t="s">
        <v>20</v>
      </c>
      <c r="B30" s="25">
        <f>IF(B21=0,0,1)+IF(B22=0,0,1)+IF(B23=0,0,1)</f>
        <v>0</v>
      </c>
      <c r="C30" s="61"/>
      <c r="D30" s="61"/>
      <c r="E30" s="61"/>
    </row>
    <row r="31" spans="1:5" ht="12.75">
      <c r="A31" s="80" t="s">
        <v>32</v>
      </c>
      <c r="B31" s="80"/>
      <c r="C31" s="80"/>
      <c r="D31" s="80"/>
      <c r="E31" s="80"/>
    </row>
    <row r="32" ht="12.75"/>
    <row r="33" spans="1:8" s="30" customFormat="1" ht="27" customHeight="1" thickBot="1">
      <c r="A33" s="27" t="s">
        <v>18</v>
      </c>
      <c r="B33" s="27" t="s">
        <v>19</v>
      </c>
      <c r="C33" s="27" t="s">
        <v>7</v>
      </c>
      <c r="D33" s="27" t="s">
        <v>9</v>
      </c>
      <c r="E33" s="27" t="s">
        <v>8</v>
      </c>
      <c r="F33" s="27" t="s">
        <v>45</v>
      </c>
      <c r="G33" s="40"/>
      <c r="H33" s="30" t="s">
        <v>63</v>
      </c>
    </row>
    <row r="34" spans="1:8" ht="13.5" thickTop="1">
      <c r="A34" s="4" t="str">
        <f>IF(Ф=0,CONCATENATE("Столб заборный (",B13," м)"),CONCATENATE("Столб винтововй (",B13," м, нак.",B14,")"))</f>
        <v>Столб заборный (3 м)</v>
      </c>
      <c r="B34" s="15" t="str">
        <f>B12</f>
        <v>60х5</v>
      </c>
      <c r="C34" s="49">
        <f>IF(Ф=0,IF(B34=0,0,IF(B34=K61,L61*B13,L62*B13)),IF(B34=0,0,IF(B34=K61,L61*B13+O83,L62*B13+O83)))</f>
        <v>720</v>
      </c>
      <c r="D34" s="50">
        <f>IF(H34="-",0,IF(H34&gt;0,H34,IF(B34=0,0,ROUNDUP((B10-B18-B19-B20-B21-B22-B23)/B15+1+B29+B30,0))))</f>
        <v>41</v>
      </c>
      <c r="E34" s="49">
        <f aca="true" t="shared" si="0" ref="E34:E40">D34*C34</f>
        <v>29520</v>
      </c>
      <c r="F34" s="51">
        <f>D34*B13*IF(B12=K61,M61,IF(B12=0,0,IF(B12=K63,M63,M62)))+R83*D34</f>
        <v>861</v>
      </c>
      <c r="G34" s="41"/>
      <c r="H34" s="57"/>
    </row>
    <row r="35" spans="1:8" ht="12.75">
      <c r="A35" s="4" t="s">
        <v>17</v>
      </c>
      <c r="B35" s="15" t="str">
        <f>IF(B34=0,0,IF(B34=K61,"Ф60",IF(B34=K63,"Ф89","Ф73")))</f>
        <v>Ф60</v>
      </c>
      <c r="C35" s="49">
        <f>IF(B35=0,0,IF(B35="Ф60",I61,I62))</f>
        <v>30</v>
      </c>
      <c r="D35" s="50">
        <f>IF(H35="-",0,IF(H35&gt;0,H35,D34))</f>
        <v>41</v>
      </c>
      <c r="E35" s="49">
        <f t="shared" si="0"/>
        <v>1230</v>
      </c>
      <c r="F35" s="51"/>
      <c r="G35" s="41"/>
      <c r="H35" s="58"/>
    </row>
    <row r="36" spans="1:8" ht="12.75">
      <c r="A36" s="4" t="s">
        <v>64</v>
      </c>
      <c r="B36" s="15" t="str">
        <f>B16</f>
        <v>40х20х2</v>
      </c>
      <c r="C36" s="49">
        <f>IF(B36=0,0,IF(B36=N61,O61,IF(B36=N64,O64,IF(B36=N65,O65,IF(B36=N67,O67,IF(B36=N68,O68,IF(B36=N70,O70,IF(B36=N71,O71,O72))))))))</f>
        <v>670</v>
      </c>
      <c r="D36" s="50">
        <f>IF(H36="-",0,IF(H36&gt;0,H36,IF(B36=0,0,ROUNDUP(B10*B17/6,0)+1+B29*4+B30*2)))</f>
        <v>35</v>
      </c>
      <c r="E36" s="49">
        <f t="shared" si="0"/>
        <v>23450</v>
      </c>
      <c r="F36" s="51">
        <f>D36*IF(B36=0,0,IF(B36=N61,R61,IF(B36=N64,R64,IF(B36=N65,R65,IF(B36=N67,R67,IF(B36=N68,R68,IF(B36=N70,R70,IF(B36=N71,R71,R72))))))))*6</f>
        <v>388.5</v>
      </c>
      <c r="G36" s="41"/>
      <c r="H36" s="58"/>
    </row>
    <row r="37" spans="1:8" ht="12.75">
      <c r="A37" s="4" t="str">
        <f>CONCATENATE("Профнастил ",B26)</f>
        <v>Профнастил С20-1100</v>
      </c>
      <c r="B37" s="15" t="str">
        <f>IF(OR(B26=0,B11=0),0,CONCATENATE(B11,"х",IF(B26=S61,1.15,IF(B26=S64,1,1.1))," м"))</f>
        <v>1,8х1,1 м</v>
      </c>
      <c r="C37" s="49">
        <f>ROUNDUP(IF(B37=0,0,B11*IF(B25=M70,L70,IF(B25=M71,L71,IF(B25=M72,L72,IF(B25=M73,L73,L74))))),0)</f>
        <v>891</v>
      </c>
      <c r="D37" s="50">
        <f>IF(B24=S59,IF(H37="-",0,IF(H37&gt;0,H37,IF(B26=0,0,ROUNDUP(B10/(IF(B26=S61,1.15,IF(B26=S64,1,1.1))),0)+B29+B30))),0)</f>
        <v>91</v>
      </c>
      <c r="E37" s="49">
        <f t="shared" si="0"/>
        <v>81081</v>
      </c>
      <c r="F37" s="51">
        <f>D37*B11*5</f>
        <v>819</v>
      </c>
      <c r="G37" s="41"/>
      <c r="H37" s="58"/>
    </row>
    <row r="38" spans="1:8" ht="12.75">
      <c r="A38" s="4" t="s">
        <v>71</v>
      </c>
      <c r="B38" s="15" t="str">
        <f>IF(B11=0,0,CONCATENATE(B11,"х",0.115," м"))</f>
        <v>1,8х0,115 м</v>
      </c>
      <c r="C38" s="49">
        <f>IF(B38=0,0,B11*IF(B25=M70,K70,IF(B25=M71,K71,IF(B25=M72,K72,IF(B25=M73,K73,K74)))))</f>
        <v>162</v>
      </c>
      <c r="D38" s="50">
        <f>IF(B24=S60,IF(H38="-",0,IF(H38&gt;0,H38,ROUNDUP(B10/(0.115+F24/1000)+1,0)+B29+B30)),0)</f>
        <v>0</v>
      </c>
      <c r="E38" s="49">
        <f t="shared" si="0"/>
        <v>0</v>
      </c>
      <c r="F38" s="51">
        <f>D38*B11*0.65</f>
        <v>0</v>
      </c>
      <c r="G38" s="41"/>
      <c r="H38" s="58"/>
    </row>
    <row r="39" spans="1:8" ht="12.75">
      <c r="A39" s="4" t="s">
        <v>62</v>
      </c>
      <c r="B39" s="15" t="str">
        <f>IF(B37=0,0,"4,8х10х14 мм")</f>
        <v>4,8х10х14 мм</v>
      </c>
      <c r="C39" s="49">
        <f>IF(B39=0,0,3000)</f>
        <v>3000</v>
      </c>
      <c r="D39" s="50">
        <f>IF(H39="-",0,IF(H39&gt;0,H39,IF(B24=S60,ROUNDUP(D38*2*B17/250,0),IF(B39=0,0,ROUNDUP((ROUNDUP(B10/(IF(B26=S61,1.15,IF(B26=S64,1,1.1))),0)+B29+B30)*5*B17*1.05/250,0)))))</f>
        <v>0</v>
      </c>
      <c r="E39" s="49">
        <f t="shared" si="0"/>
        <v>0</v>
      </c>
      <c r="F39" s="51"/>
      <c r="G39" s="41"/>
      <c r="H39" s="58" t="s">
        <v>47</v>
      </c>
    </row>
    <row r="40" spans="1:8" ht="13.5" thickBot="1">
      <c r="A40" s="43"/>
      <c r="B40" s="44"/>
      <c r="C40" s="52"/>
      <c r="D40" s="53"/>
      <c r="E40" s="49">
        <f t="shared" si="0"/>
        <v>0</v>
      </c>
      <c r="F40" s="54"/>
      <c r="G40" s="29"/>
      <c r="H40" s="59"/>
    </row>
    <row r="41" spans="3:7" ht="6" customHeight="1" thickTop="1">
      <c r="C41" s="3"/>
      <c r="D41" s="3"/>
      <c r="E41" s="3"/>
      <c r="F41" s="29"/>
      <c r="G41" s="29"/>
    </row>
    <row r="42" spans="1:8" s="7" customFormat="1" ht="15.75">
      <c r="A42" s="6"/>
      <c r="C42" s="79" t="s">
        <v>26</v>
      </c>
      <c r="D42" s="79"/>
      <c r="E42" s="8">
        <f>SUM(E34:E40)</f>
        <v>135281</v>
      </c>
      <c r="F42" s="33" t="str">
        <f>CONCATENATE(SUM(F34:F40)," кг")</f>
        <v>2068,5 кг</v>
      </c>
      <c r="H42" s="28"/>
    </row>
    <row r="43" spans="1:8" s="10" customFormat="1" ht="15" customHeight="1">
      <c r="A43" s="9"/>
      <c r="B43" s="76" t="s">
        <v>46</v>
      </c>
      <c r="C43" s="76"/>
      <c r="D43" s="76"/>
      <c r="E43" s="26">
        <f>ROUND(E42/B10,2)</f>
        <v>1352.81</v>
      </c>
      <c r="G43" s="33"/>
      <c r="H43" s="28"/>
    </row>
    <row r="44" spans="1:8" s="10" customFormat="1" ht="9" customHeight="1">
      <c r="A44" s="9"/>
      <c r="B44" s="12"/>
      <c r="C44" s="12"/>
      <c r="D44" s="12"/>
      <c r="E44" s="11"/>
      <c r="H44" s="28"/>
    </row>
    <row r="45" spans="1:8" s="10" customFormat="1" ht="15" customHeight="1">
      <c r="A45" s="62" t="s">
        <v>83</v>
      </c>
      <c r="B45" s="62"/>
      <c r="C45" s="62"/>
      <c r="D45" s="68" t="s">
        <v>82</v>
      </c>
      <c r="E45" s="68"/>
      <c r="F45" s="68"/>
      <c r="H45" s="28"/>
    </row>
    <row r="46" spans="1:8" s="16" customFormat="1" ht="12">
      <c r="A46" s="62" t="s">
        <v>91</v>
      </c>
      <c r="B46" s="62"/>
      <c r="C46" s="62"/>
      <c r="D46" s="62"/>
      <c r="E46" s="62"/>
      <c r="F46" s="62"/>
      <c r="G46" s="36"/>
      <c r="H46" s="32"/>
    </row>
    <row r="47" spans="1:8" s="16" customFormat="1" ht="12">
      <c r="A47" s="62" t="s">
        <v>90</v>
      </c>
      <c r="B47" s="62"/>
      <c r="C47" s="69" t="s">
        <v>76</v>
      </c>
      <c r="D47" s="69"/>
      <c r="E47" s="69"/>
      <c r="F47" s="69"/>
      <c r="G47" s="35"/>
      <c r="H47" s="32"/>
    </row>
    <row r="48" spans="1:8" s="16" customFormat="1" ht="12">
      <c r="A48" s="62" t="s">
        <v>89</v>
      </c>
      <c r="B48" s="62"/>
      <c r="C48" s="69" t="s">
        <v>25</v>
      </c>
      <c r="D48" s="69"/>
      <c r="E48" s="69"/>
      <c r="F48" s="69"/>
      <c r="G48" s="35"/>
      <c r="H48" s="32"/>
    </row>
    <row r="49" spans="1:8" s="16" customFormat="1" ht="26.25" customHeight="1">
      <c r="A49" s="62" t="s">
        <v>92</v>
      </c>
      <c r="B49" s="62"/>
      <c r="C49" s="62"/>
      <c r="D49" s="62"/>
      <c r="E49" s="62"/>
      <c r="F49" s="62"/>
      <c r="G49" s="36"/>
      <c r="H49" s="32"/>
    </row>
    <row r="50" spans="1:6" ht="12.75">
      <c r="A50" s="70" t="s">
        <v>61</v>
      </c>
      <c r="B50" s="70"/>
      <c r="C50" s="70"/>
      <c r="D50" s="70"/>
      <c r="E50" s="70"/>
      <c r="F50" s="70"/>
    </row>
    <row r="52" ht="13.5" thickBot="1"/>
    <row r="53" spans="1:3" ht="13.5" thickBot="1">
      <c r="A53" s="1" t="s">
        <v>27</v>
      </c>
      <c r="B53" s="73" t="s">
        <v>54</v>
      </c>
      <c r="C53" s="74"/>
    </row>
    <row r="54" spans="1:3" ht="15" customHeight="1">
      <c r="A54" s="75" t="s">
        <v>65</v>
      </c>
      <c r="B54" s="75"/>
      <c r="C54" s="75"/>
    </row>
    <row r="56" spans="1:7" ht="27.75" customHeight="1">
      <c r="A56" s="70" t="s">
        <v>93</v>
      </c>
      <c r="B56" s="70"/>
      <c r="C56" s="71" t="s">
        <v>28</v>
      </c>
      <c r="D56" s="71"/>
      <c r="E56" s="71"/>
      <c r="F56" s="71"/>
      <c r="G56" s="37"/>
    </row>
    <row r="57" spans="1:8" s="5" customFormat="1" ht="15">
      <c r="A57" s="72" t="s">
        <v>94</v>
      </c>
      <c r="B57" s="72"/>
      <c r="C57" s="72"/>
      <c r="D57" s="72"/>
      <c r="E57" s="72"/>
      <c r="F57" s="72"/>
      <c r="G57" s="38"/>
      <c r="H57" s="31"/>
    </row>
    <row r="59" ht="12.75">
      <c r="S59" t="s">
        <v>70</v>
      </c>
    </row>
    <row r="60" spans="9:19" ht="12.75">
      <c r="I60" t="s">
        <v>17</v>
      </c>
      <c r="O60" t="s">
        <v>75</v>
      </c>
      <c r="S60" t="s">
        <v>71</v>
      </c>
    </row>
    <row r="61" spans="9:19" ht="12.75">
      <c r="I61">
        <v>30</v>
      </c>
      <c r="J61" t="s">
        <v>47</v>
      </c>
      <c r="K61" t="s">
        <v>3</v>
      </c>
      <c r="L61">
        <v>240</v>
      </c>
      <c r="M61">
        <v>7</v>
      </c>
      <c r="N61" t="s">
        <v>51</v>
      </c>
      <c r="O61">
        <f aca="true" t="shared" si="1" ref="O61:O66">IF(D$36&lt;20,Q61,P61)</f>
        <v>670</v>
      </c>
      <c r="P61">
        <v>670</v>
      </c>
      <c r="Q61">
        <f>ROUNDUP(P61*1.15,0)</f>
        <v>771</v>
      </c>
      <c r="R61">
        <v>1.85</v>
      </c>
      <c r="S61" t="s">
        <v>12</v>
      </c>
    </row>
    <row r="62" spans="9:19" ht="12.75">
      <c r="I62">
        <v>35</v>
      </c>
      <c r="K62" t="s">
        <v>2</v>
      </c>
      <c r="L62">
        <v>270</v>
      </c>
      <c r="M62">
        <v>9.4</v>
      </c>
      <c r="N62" t="s">
        <v>100</v>
      </c>
      <c r="O62">
        <f t="shared" si="1"/>
        <v>801</v>
      </c>
      <c r="P62">
        <v>801</v>
      </c>
      <c r="Q62">
        <f>ROUNDUP(P62*1.15,0)</f>
        <v>922</v>
      </c>
      <c r="R62">
        <v>2.1</v>
      </c>
      <c r="S62" t="s">
        <v>13</v>
      </c>
    </row>
    <row r="63" spans="14:19" ht="12.75">
      <c r="N63" t="s">
        <v>99</v>
      </c>
      <c r="O63">
        <f t="shared" si="1"/>
        <v>888</v>
      </c>
      <c r="P63">
        <v>888</v>
      </c>
      <c r="Q63">
        <f>ROUNDUP(P63*1.15,0)</f>
        <v>1022</v>
      </c>
      <c r="R63">
        <v>2.5</v>
      </c>
      <c r="S63" t="s">
        <v>14</v>
      </c>
    </row>
    <row r="64" spans="14:19" ht="12.75">
      <c r="N64" t="s">
        <v>52</v>
      </c>
      <c r="O64">
        <f>IF(D$36&lt;20,Q64,P64)</f>
        <v>830</v>
      </c>
      <c r="P64">
        <v>830</v>
      </c>
      <c r="Q64">
        <f>ROUNDUP(P64*1.15,0)</f>
        <v>955</v>
      </c>
      <c r="R64">
        <v>2.1</v>
      </c>
      <c r="S64" t="s">
        <v>15</v>
      </c>
    </row>
    <row r="65" spans="14:18" ht="12.75">
      <c r="N65" t="s">
        <v>53</v>
      </c>
      <c r="O65">
        <f>IF(D$36&lt;20,Q65,P65)</f>
        <v>886</v>
      </c>
      <c r="P65">
        <v>886</v>
      </c>
      <c r="Q65">
        <f>ROUNDUP(P65*1.15,0)</f>
        <v>1019</v>
      </c>
      <c r="R65">
        <v>2.3</v>
      </c>
    </row>
    <row r="66" spans="14:18" ht="12.75">
      <c r="N66" t="s">
        <v>101</v>
      </c>
      <c r="O66">
        <v>1040</v>
      </c>
      <c r="P66">
        <v>1040</v>
      </c>
      <c r="Q66">
        <f>ROUNDUP(P66*1.15,0)</f>
        <v>1196</v>
      </c>
      <c r="R66">
        <v>2.7</v>
      </c>
    </row>
    <row r="67" spans="14:18" ht="12.75">
      <c r="N67" t="s">
        <v>10</v>
      </c>
      <c r="O67">
        <f>IF(D$36&lt;20,Q67,P67)</f>
        <v>894</v>
      </c>
      <c r="P67">
        <v>894</v>
      </c>
      <c r="Q67">
        <f>ROUNDUP(P67*1.15,0)</f>
        <v>1029</v>
      </c>
      <c r="R67">
        <v>2.5</v>
      </c>
    </row>
    <row r="68" spans="14:18" ht="12.75">
      <c r="N68" t="s">
        <v>44</v>
      </c>
      <c r="O68">
        <f>IF(D$36&lt;20,Q68,P68)</f>
        <v>1047</v>
      </c>
      <c r="P68">
        <v>1047</v>
      </c>
      <c r="Q68">
        <f>ROUNDUP(P68*1.15,0)</f>
        <v>1205</v>
      </c>
      <c r="R68">
        <v>3</v>
      </c>
    </row>
    <row r="69" spans="14:18" ht="12.75">
      <c r="N69" t="s">
        <v>98</v>
      </c>
      <c r="O69">
        <f>IF(D$36&lt;20,Q69,P69)</f>
        <v>1201</v>
      </c>
      <c r="P69">
        <v>1201</v>
      </c>
      <c r="Q69">
        <f>ROUNDUP(P69*1.15,0)</f>
        <v>1382</v>
      </c>
      <c r="R69">
        <v>3.3</v>
      </c>
    </row>
    <row r="70" spans="11:18" ht="12.75">
      <c r="K70">
        <v>90</v>
      </c>
      <c r="L70">
        <v>495</v>
      </c>
      <c r="M70" t="s">
        <v>55</v>
      </c>
      <c r="N70" t="s">
        <v>4</v>
      </c>
      <c r="O70">
        <f>IF(D$36&lt;20,Q70,P70)</f>
        <v>1131</v>
      </c>
      <c r="P70">
        <v>1131</v>
      </c>
      <c r="Q70">
        <f>ROUNDUP(P70*1.15,0)</f>
        <v>1301</v>
      </c>
      <c r="R70">
        <v>2.9</v>
      </c>
    </row>
    <row r="71" spans="11:18" ht="12.75">
      <c r="K71">
        <v>98</v>
      </c>
      <c r="L71">
        <v>525</v>
      </c>
      <c r="M71" t="s">
        <v>56</v>
      </c>
      <c r="N71" t="s">
        <v>5</v>
      </c>
      <c r="O71">
        <f>IF(D$36&lt;20,Q71,P71)</f>
        <v>1269</v>
      </c>
      <c r="P71">
        <v>1269</v>
      </c>
      <c r="Q71">
        <f>ROUNDUP(P71*1.15,0)</f>
        <v>1460</v>
      </c>
      <c r="R71">
        <v>3.6</v>
      </c>
    </row>
    <row r="72" spans="11:18" ht="12.75">
      <c r="K72">
        <v>82</v>
      </c>
      <c r="L72">
        <v>427</v>
      </c>
      <c r="M72" t="s">
        <v>58</v>
      </c>
      <c r="N72" t="s">
        <v>43</v>
      </c>
      <c r="O72">
        <f>IF(D$36&lt;20,Q72,P72)</f>
        <v>1495</v>
      </c>
      <c r="P72">
        <v>1495</v>
      </c>
      <c r="Q72">
        <f>ROUNDUP(P72*1.15,0)</f>
        <v>1720</v>
      </c>
      <c r="R72">
        <v>4</v>
      </c>
    </row>
    <row r="73" spans="11:18" ht="12.75">
      <c r="K73">
        <v>128</v>
      </c>
      <c r="L73">
        <v>749</v>
      </c>
      <c r="M73" t="s">
        <v>68</v>
      </c>
      <c r="N73" t="s">
        <v>95</v>
      </c>
      <c r="O73">
        <f>IF(D$36&lt;20,Q73,P73)</f>
        <v>1351</v>
      </c>
      <c r="P73">
        <v>1351</v>
      </c>
      <c r="Q73">
        <f>ROUNDUP(P73*1.15,0)</f>
        <v>1554</v>
      </c>
      <c r="R73">
        <v>3.8</v>
      </c>
    </row>
    <row r="74" spans="11:18" ht="12.75">
      <c r="K74">
        <v>141</v>
      </c>
      <c r="L74">
        <v>910</v>
      </c>
      <c r="M74" t="s">
        <v>84</v>
      </c>
      <c r="N74" t="s">
        <v>96</v>
      </c>
      <c r="O74">
        <f>IF(D$36&lt;20,Q74,P74)</f>
        <v>1818</v>
      </c>
      <c r="P74">
        <v>1818</v>
      </c>
      <c r="Q74">
        <f>ROUNDUP(P74*1.15,0)</f>
        <v>2091</v>
      </c>
      <c r="R74">
        <v>4.6</v>
      </c>
    </row>
    <row r="75" spans="14:18" ht="12.75">
      <c r="N75" t="s">
        <v>97</v>
      </c>
      <c r="O75">
        <f>IF(D$36&lt;20,Q75,P75)</f>
        <v>1990</v>
      </c>
      <c r="P75">
        <v>1990</v>
      </c>
      <c r="Q75">
        <f>ROUNDUP(P75*1.15,0)</f>
        <v>2289</v>
      </c>
      <c r="R75">
        <v>5.4</v>
      </c>
    </row>
    <row r="77" spans="13:18" ht="12.75">
      <c r="M77" t="s">
        <v>85</v>
      </c>
      <c r="N77" t="s">
        <v>77</v>
      </c>
      <c r="O77">
        <v>480</v>
      </c>
      <c r="P77">
        <v>600</v>
      </c>
      <c r="R77">
        <v>1.6</v>
      </c>
    </row>
    <row r="78" spans="13:18" ht="12.75">
      <c r="M78" t="s">
        <v>86</v>
      </c>
      <c r="N78" t="s">
        <v>78</v>
      </c>
      <c r="O78">
        <v>490</v>
      </c>
      <c r="R78">
        <v>1.7</v>
      </c>
    </row>
    <row r="79" spans="13:18" ht="12.75">
      <c r="M79" t="s">
        <v>87</v>
      </c>
      <c r="N79" t="s">
        <v>81</v>
      </c>
      <c r="O79">
        <v>700</v>
      </c>
      <c r="P79">
        <v>700</v>
      </c>
      <c r="R79">
        <v>2.6</v>
      </c>
    </row>
    <row r="80" spans="14:18" ht="12.75">
      <c r="N80" t="s">
        <v>79</v>
      </c>
      <c r="O80">
        <v>540</v>
      </c>
      <c r="R80">
        <v>2.2</v>
      </c>
    </row>
    <row r="83" spans="14:18" ht="12.75">
      <c r="N83" t="s">
        <v>88</v>
      </c>
      <c r="O83">
        <f>IF(Ф=M77,O77+P77,IF(Ф=M78,O79+P79,IF(AND(Ф=M79,B12=K61),O78+P77,O80+P79)))</f>
        <v>1240</v>
      </c>
      <c r="R83">
        <f>IF(Ф=M77,R77,IF(Ф=M78,R79,IF(AND(Ф=M79,B12=K61),R78,IF(Ф=0,0,R80))))</f>
        <v>0</v>
      </c>
    </row>
  </sheetData>
  <sheetProtection password="ECCB" sheet="1" objects="1" scenarios="1" selectLockedCells="1"/>
  <mergeCells count="34">
    <mergeCell ref="C4:F4"/>
    <mergeCell ref="C5:F5"/>
    <mergeCell ref="C42:D42"/>
    <mergeCell ref="C17:F17"/>
    <mergeCell ref="A31:E31"/>
    <mergeCell ref="A7:E7"/>
    <mergeCell ref="A8:E8"/>
    <mergeCell ref="C10:F10"/>
    <mergeCell ref="C11:F11"/>
    <mergeCell ref="A57:F57"/>
    <mergeCell ref="C12:F12"/>
    <mergeCell ref="C15:F15"/>
    <mergeCell ref="C16:F16"/>
    <mergeCell ref="C18:F23"/>
    <mergeCell ref="B53:C53"/>
    <mergeCell ref="A54:C54"/>
    <mergeCell ref="A48:B48"/>
    <mergeCell ref="B43:D43"/>
    <mergeCell ref="A50:F50"/>
    <mergeCell ref="C48:F48"/>
    <mergeCell ref="A49:F49"/>
    <mergeCell ref="A56:B56"/>
    <mergeCell ref="C56:F56"/>
    <mergeCell ref="A47:B47"/>
    <mergeCell ref="C47:F47"/>
    <mergeCell ref="H12:I21"/>
    <mergeCell ref="C13:F13"/>
    <mergeCell ref="A46:F46"/>
    <mergeCell ref="C30:E30"/>
    <mergeCell ref="C14:F14"/>
    <mergeCell ref="C24:E24"/>
    <mergeCell ref="C25:F26"/>
    <mergeCell ref="D45:F45"/>
    <mergeCell ref="A45:C45"/>
  </mergeCells>
  <dataValidations count="6">
    <dataValidation type="list" allowBlank="1" showInputMessage="1" showErrorMessage="1" sqref="B25">
      <formula1>$M$70:$M$74</formula1>
    </dataValidation>
    <dataValidation type="list" allowBlank="1" showInputMessage="1" showErrorMessage="1" sqref="B26">
      <formula1>$S$61:$S$64</formula1>
    </dataValidation>
    <dataValidation type="list" allowBlank="1" showInputMessage="1" showErrorMessage="1" sqref="B12">
      <formula1>$K$61:$K$62</formula1>
    </dataValidation>
    <dataValidation type="list" allowBlank="1" showInputMessage="1" showErrorMessage="1" sqref="B16">
      <formula1>$N$61:$N$76</formula1>
    </dataValidation>
    <dataValidation type="list" allowBlank="1" showInputMessage="1" showErrorMessage="1" sqref="B24">
      <formula1>$S$59:$S$60</formula1>
    </dataValidation>
    <dataValidation type="list" allowBlank="1" showInputMessage="1" showErrorMessage="1" sqref="B14">
      <formula1>$M$77:$M$81</formula1>
    </dataValidation>
  </dataValidations>
  <hyperlinks>
    <hyperlink ref="C47" r:id="rId1" display="www.avers-steel.ru/prices/cena-dostavka.html"/>
    <hyperlink ref="C48" r:id="rId2" display="www.avers-steel.ru/artcl/zabor_montazh.html"/>
    <hyperlink ref="C56" r:id="rId3" display="www.avers-steel.ru/prices/stolbmap.html"/>
    <hyperlink ref="D45" r:id="rId4" display="www.avers-steel.ru/pow/index.html"/>
  </hyperlinks>
  <printOptions horizontalCentered="1"/>
  <pageMargins left="0.5118110236220472" right="0.31496062992125984" top="0.1968503937007874" bottom="0.15748031496062992" header="0.2755905511811024" footer="0.2362204724409449"/>
  <pageSetup fitToHeight="1" fitToWidth="1" horizontalDpi="600" verticalDpi="600" orientation="portrait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AVERS</dc:creator>
  <cp:keywords/>
  <dc:description/>
  <cp:lastModifiedBy>MV</cp:lastModifiedBy>
  <cp:lastPrinted>2018-07-05T12:59:55Z</cp:lastPrinted>
  <dcterms:created xsi:type="dcterms:W3CDTF">2012-03-27T10:28:23Z</dcterms:created>
  <dcterms:modified xsi:type="dcterms:W3CDTF">2019-07-22T14:44:44Z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